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252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'Sheet1'!$A$1:$N$66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<sst xmlns="http://schemas.openxmlformats.org/spreadsheetml/2006/main" count="25" uniqueCount="25">
  <si>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</si>
  <si>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berth length</t>
  </si>
  <si>
    <t>base rate for this length</t>
  </si>
  <si>
    <t xml:space="preserve"> width of finger</t>
  </si>
  <si>
    <t xml:space="preserve"> width of main walkway</t>
  </si>
  <si>
    <t>1,75</t>
  </si>
  <si>
    <t xml:space="preserve"> adjustment for upwind</t>
  </si>
  <si>
    <t>progressive rate increase with size</t>
  </si>
  <si>
    <t xml:space="preserve"> width of berth + half of finger</t>
  </si>
  <si>
    <t>total area required  (square feet of dock+water)</t>
  </si>
  <si>
    <t>cost to build dock</t>
  </si>
  <si>
    <t xml:space="preserve">cost to build dock, $/sq. ft. </t>
  </si>
  <si>
    <t>average rate for upwind and downwind, single finger</t>
  </si>
  <si>
    <t>width of berth</t>
  </si>
  <si>
    <t>length of berth + half of main walkway + half of clearance length</t>
  </si>
  <si>
    <t>total area of dock required (square feet)</t>
  </si>
  <si>
    <t xml:space="preserve"> required open water clearance (x berth length)</t>
  </si>
  <si>
    <t xml:space="preserve"> initial base rate</t>
  </si>
  <si>
    <t>gross annual revenue for this size berth</t>
  </si>
  <si>
    <t>annual cost to service loan to build dock</t>
  </si>
  <si>
    <t>effective annual interest rate</t>
  </si>
  <si>
    <t>net annual revenue</t>
  </si>
  <si>
    <t>net annual revenue per acre</t>
  </si>
  <si>
    <t>fixed annual overhead per account</t>
  </si>
  <si>
    <t>Berth revenue per acre for the Berkeley Marina, as a function of berth size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</si>
</sst>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  <numFmt numFmtId="167" formatCode="0.0"/>
    <numFmt numFmtId="168" formatCode="&quot;$&quot;#,##0.0"/>
    <numFmt numFmtId="169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Arial"/>
      <family val="0"/>
    </font>
    <font>
      <sz val="14.75"/>
      <name val="Arial"/>
      <family val="2"/>
    </font>
    <font>
      <b/>
      <sz val="16.5"/>
      <name val="Arial"/>
      <family val="0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165" fontId="1" fillId="0" borderId="1" xfId="0" applyNumberFormat="1" applyFont="1" applyBorder="1" applyAlignment="1">
      <alignment horizontal="right"/>
    </xf>
    <xf numFmtId="167" fontId="1" fillId="0" borderId="1" xfId="0" applyNumberFormat="1" applyFont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textRotation="90" wrapText="1"/>
    </xf>
    <xf numFmtId="2" fontId="2" fillId="0" borderId="3" xfId="0" applyNumberFormat="1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7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075"/>
          <c:w val="0.93325"/>
          <c:h val="0.931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Sheet1!$A$15:$A$35</c:f>
              <c:numCache/>
            </c:numRef>
          </c:xVal>
          <c:yVal>
            <c:numRef>
              <c:f>Sheet1!$M$15:$M$35</c:f>
              <c:numCache/>
            </c:numRef>
          </c:yVal>
          <c:smooth val="1"/>
        </c:ser>
        <c:axId val="15512759"/>
        <c:axId val="5397104"/>
      </c:scatterChart>
      <c:valAx>
        <c:axId val="15512759"/>
        <c:scaling>
          <c:orientation val="minMax"/>
          <c:max val="84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berth length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04"/>
        <c:crosses val="autoZero"/>
        <c:crossBetween val="midCat"/>
        <c:dispUnits/>
        <c:majorUnit val="10"/>
        <c:minorUnit val="1"/>
      </c:val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net annual revenue per acre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crossAx val="15512759"/>
        <c:crosses val="autoZero"/>
        <c:crossBetween val="midCat"/>
        <c:dispUnits/>
        <c:minorUnit val="292.4672356476455"/>
      </c:valAx>
      <c:spPr>
        <a:solidFill>
          <a:srgbClr val="FFFF99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36</xdr:row>
      <xdr:rowOff>85725</xdr:rowOff>
    </xdr:from>
    <xdr:to>
      <xdr:col>13</xdr:col>
      <xdr:colOff>57150</xdr:colOff>
      <xdr:row>65</xdr:row>
      <xdr:rowOff>38100</xdr:rowOff>
    </xdr:to>
    <xdr:graphicFrame>
      <xdr:nvGraphicFramePr>
        <xdr:cNvPr id="1" name="Chart 4"/>
        <xdr:cNvGraphicFramePr/>
      </xdr:nvGraphicFramePr>
      <xdr:xfrm>
        <a:off x="152400" y="8343900"/>
        <a:ext cx="72961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tabSelected="1" zoomScale="75" zoomScaleNormal="75" workbookViewId="0" topLeftCell="A1">
      <selection activeCell="N34" sqref="N34"/>
    </sheetView>
  </sheetViews>
  <sheetFormatPr defaultColWidth="9.140625" defaultRowHeight="12.75"/>
  <cols>
    <col min="1" max="1" width="4.140625" style="0" customWidth="1"/>
    <col min="2" max="2" width="8.28125" style="0" customWidth="1"/>
    <col min="3" max="3" width="8.57421875" style="8" customWidth="1"/>
    <col min="4" max="4" width="11.28125" style="8" customWidth="1"/>
    <col min="5" max="5" width="6.421875" style="0" customWidth="1"/>
    <col min="6" max="6" width="5.8515625" style="0" customWidth="1"/>
    <col min="7" max="7" width="9.57421875" style="0" customWidth="1"/>
    <col min="8" max="8" width="7.7109375" style="0" customWidth="1"/>
    <col min="9" max="9" width="6.7109375" style="0" customWidth="1"/>
    <col min="10" max="10" width="10.140625" style="0" customWidth="1"/>
    <col min="11" max="11" width="10.8515625" style="0" customWidth="1"/>
    <col min="12" max="12" width="11.7109375" style="0" customWidth="1"/>
    <col min="13" max="13" width="9.57421875" style="0" customWidth="1"/>
    <col min="16" max="16" width="12.421875" style="0" customWidth="1"/>
  </cols>
  <sheetData>
    <row r="1" spans="1:10" ht="17.25">
      <c r="A1" s="39" t="s">
        <v>24</v>
      </c>
      <c r="B1" s="1"/>
      <c r="J1" s="1"/>
    </row>
    <row r="2" spans="1:2" ht="12.75">
      <c r="A2" s="1"/>
      <c r="B2" s="1"/>
    </row>
    <row r="3" ht="13.5" thickBot="1"/>
    <row r="4" spans="1:10" ht="13.5" thickBot="1">
      <c r="A4" s="1"/>
      <c r="B4" s="1"/>
      <c r="C4" s="9" t="s">
        <v>0</v>
      </c>
      <c r="D4" s="9"/>
      <c r="E4" s="6">
        <v>5.03</v>
      </c>
      <c r="F4" s="1" t="s">
        <v>17</v>
      </c>
      <c r="G4" s="1"/>
      <c r="H4" s="1"/>
      <c r="I4" s="1"/>
      <c r="J4" s="1"/>
    </row>
    <row r="5" spans="1:11" ht="13.5" thickBot="1">
      <c r="A5" s="1"/>
      <c r="B5" s="1"/>
      <c r="C5" s="9"/>
      <c r="D5" s="9"/>
      <c r="E5" s="11">
        <v>0.05</v>
      </c>
      <c r="F5" s="1" t="s">
        <v>7</v>
      </c>
      <c r="G5" s="1"/>
      <c r="H5" s="1"/>
      <c r="I5" s="1"/>
      <c r="J5" s="1"/>
      <c r="K5" s="5"/>
    </row>
    <row r="6" spans="1:11" ht="13.5" thickBot="1">
      <c r="A6" s="1"/>
      <c r="B6" s="1"/>
      <c r="C6" s="9"/>
      <c r="D6" s="9"/>
      <c r="E6" s="11">
        <v>0.06</v>
      </c>
      <c r="F6" s="1" t="s">
        <v>6</v>
      </c>
      <c r="G6" s="1"/>
      <c r="H6" s="1"/>
      <c r="I6" s="1"/>
      <c r="J6" s="1"/>
      <c r="K6" s="4"/>
    </row>
    <row r="7" spans="1:13" ht="12.75" customHeight="1" thickBot="1">
      <c r="A7" s="1"/>
      <c r="B7" s="1"/>
      <c r="C7" s="9"/>
      <c r="D7" s="9"/>
      <c r="E7" s="12" t="s">
        <v>5</v>
      </c>
      <c r="F7" s="1" t="s">
        <v>16</v>
      </c>
      <c r="G7" s="1"/>
      <c r="H7" s="1"/>
      <c r="I7" s="1"/>
      <c r="J7" s="1"/>
      <c r="K7" s="4"/>
      <c r="M7" s="1"/>
    </row>
    <row r="8" spans="1:13" ht="12.75" customHeight="1" thickBot="1">
      <c r="A8" s="1"/>
      <c r="B8" s="1"/>
      <c r="C8" s="9"/>
      <c r="D8" s="9"/>
      <c r="E8" s="12">
        <v>8</v>
      </c>
      <c r="F8" s="1" t="s">
        <v>4</v>
      </c>
      <c r="G8" s="1"/>
      <c r="H8" s="1"/>
      <c r="I8" s="1"/>
      <c r="J8" s="1"/>
      <c r="K8" s="4"/>
      <c r="M8" s="1"/>
    </row>
    <row r="9" spans="1:13" ht="12.75" customHeight="1" thickBot="1">
      <c r="A9" s="1"/>
      <c r="B9" s="1"/>
      <c r="C9" s="9"/>
      <c r="D9" s="9"/>
      <c r="E9" s="12">
        <v>4</v>
      </c>
      <c r="F9" s="1" t="s">
        <v>3</v>
      </c>
      <c r="G9" s="1"/>
      <c r="H9" s="1"/>
      <c r="I9" s="1"/>
      <c r="J9" s="1"/>
      <c r="K9" s="4"/>
      <c r="M9" s="1"/>
    </row>
    <row r="10" spans="1:13" ht="12" customHeight="1" thickBot="1">
      <c r="A10" s="1"/>
      <c r="B10" s="1"/>
      <c r="C10" s="9"/>
      <c r="D10" s="9"/>
      <c r="E10" s="13">
        <v>65</v>
      </c>
      <c r="F10" s="1" t="s">
        <v>11</v>
      </c>
      <c r="K10" s="4"/>
      <c r="M10" s="1"/>
    </row>
    <row r="11" spans="1:13" ht="12" customHeight="1" thickBot="1">
      <c r="A11" s="1"/>
      <c r="B11" s="1"/>
      <c r="C11" s="9"/>
      <c r="D11" s="9"/>
      <c r="E11" s="14">
        <v>0.07</v>
      </c>
      <c r="F11" s="1" t="s">
        <v>20</v>
      </c>
      <c r="K11" s="4"/>
      <c r="M11" s="1"/>
    </row>
    <row r="12" spans="1:13" ht="12" customHeight="1" thickBot="1">
      <c r="A12" s="1"/>
      <c r="B12" s="1"/>
      <c r="C12" s="9"/>
      <c r="D12" s="9"/>
      <c r="E12" s="13">
        <v>120</v>
      </c>
      <c r="F12" s="1" t="s">
        <v>23</v>
      </c>
      <c r="K12" s="4"/>
      <c r="M12" s="1"/>
    </row>
    <row r="13" spans="1:13" ht="12" customHeight="1">
      <c r="A13" s="1"/>
      <c r="B13" s="1"/>
      <c r="C13" s="9"/>
      <c r="D13" s="9"/>
      <c r="E13" s="7"/>
      <c r="F13" s="1"/>
      <c r="G13" s="1"/>
      <c r="H13" s="1"/>
      <c r="I13" s="1"/>
      <c r="J13" s="1"/>
      <c r="K13" s="1"/>
      <c r="M13" s="1"/>
    </row>
    <row r="14" spans="1:13" ht="198.75" customHeight="1" thickBot="1">
      <c r="A14" s="15" t="s">
        <v>1</v>
      </c>
      <c r="B14" s="15" t="s">
        <v>2</v>
      </c>
      <c r="C14" s="16" t="s">
        <v>12</v>
      </c>
      <c r="D14" s="16" t="s">
        <v>18</v>
      </c>
      <c r="E14" s="17" t="s">
        <v>13</v>
      </c>
      <c r="F14" s="17" t="s">
        <v>8</v>
      </c>
      <c r="G14" s="17" t="s">
        <v>14</v>
      </c>
      <c r="H14" s="17" t="s">
        <v>9</v>
      </c>
      <c r="I14" s="17" t="s">
        <v>15</v>
      </c>
      <c r="J14" s="17" t="s">
        <v>10</v>
      </c>
      <c r="K14" s="17" t="s">
        <v>19</v>
      </c>
      <c r="L14" s="17" t="s">
        <v>21</v>
      </c>
      <c r="M14" s="17" t="s">
        <v>22</v>
      </c>
    </row>
    <row r="15" spans="1:13" ht="12.75">
      <c r="A15" s="18">
        <v>20</v>
      </c>
      <c r="B15" s="19">
        <f>+$E$4*(1+$E$5)^0</f>
        <v>5.03</v>
      </c>
      <c r="C15" s="20">
        <f>+B15*(1+$E$6/2)</f>
        <v>5.1809</v>
      </c>
      <c r="D15" s="19">
        <f>A15*C15*12</f>
        <v>1243.4160000000002</v>
      </c>
      <c r="E15" s="21">
        <f>A15*0.4</f>
        <v>8</v>
      </c>
      <c r="F15" s="21">
        <f>E15+$E$9/2</f>
        <v>10</v>
      </c>
      <c r="G15" s="21">
        <f>A15+$E$8/2+A15*1.75/2</f>
        <v>41.5</v>
      </c>
      <c r="H15" s="22">
        <f>F15*G15</f>
        <v>415</v>
      </c>
      <c r="I15" s="22">
        <f>A15*$E$9/2+E15*$E$8/2</f>
        <v>72</v>
      </c>
      <c r="J15" s="23">
        <f>I15*$E$10</f>
        <v>4680</v>
      </c>
      <c r="K15" s="24">
        <f>+J15*$E$11</f>
        <v>327.6</v>
      </c>
      <c r="L15" s="24">
        <f>D15-K15-$E$12</f>
        <v>795.8160000000001</v>
      </c>
      <c r="M15" s="23">
        <f>L15/H15*43560</f>
        <v>83531.91556626507</v>
      </c>
    </row>
    <row r="16" spans="1:13" ht="12.75">
      <c r="A16" s="25">
        <v>21</v>
      </c>
      <c r="B16" s="26">
        <f>+$E$4*(1+$E$5)^0</f>
        <v>5.03</v>
      </c>
      <c r="C16" s="40">
        <f aca="true" t="shared" si="0" ref="C16:C35">+B16*(1+$E$6/2)</f>
        <v>5.1809</v>
      </c>
      <c r="D16" s="26">
        <f>A16*C16*12</f>
        <v>1305.5868</v>
      </c>
      <c r="E16" s="27">
        <f>A16*0.4</f>
        <v>8.4</v>
      </c>
      <c r="F16" s="27">
        <f>E16+$E$9/2</f>
        <v>10.4</v>
      </c>
      <c r="G16" s="27">
        <f>A16+$E$8/2+A16*1.75/2</f>
        <v>43.375</v>
      </c>
      <c r="H16" s="28">
        <f>F16*G16</f>
        <v>451.1</v>
      </c>
      <c r="I16" s="28">
        <f>A16*$E$9/2+E16*$E$8/2</f>
        <v>75.6</v>
      </c>
      <c r="J16" s="29">
        <f>I16*$E$10</f>
        <v>4914</v>
      </c>
      <c r="K16" s="30">
        <f>+J16*$E$11</f>
        <v>343.98</v>
      </c>
      <c r="L16" s="30">
        <f aca="true" t="shared" si="1" ref="L16:L35">D16-K16-$E$12</f>
        <v>841.6068</v>
      </c>
      <c r="M16" s="29">
        <f>L16/H16*43560</f>
        <v>81268.88097539348</v>
      </c>
    </row>
    <row r="17" spans="1:13" ht="12.75">
      <c r="A17" s="25">
        <v>22</v>
      </c>
      <c r="B17" s="26">
        <f>+$E$4*(1+$E$5)^1</f>
        <v>5.2815</v>
      </c>
      <c r="C17" s="40">
        <f t="shared" si="0"/>
        <v>5.439945000000001</v>
      </c>
      <c r="D17" s="26">
        <f aca="true" t="shared" si="2" ref="D17:D35">A17*C17*12</f>
        <v>1436.1454800000001</v>
      </c>
      <c r="E17" s="27">
        <f aca="true" t="shared" si="3" ref="E17:E35">A17*0.4</f>
        <v>8.8</v>
      </c>
      <c r="F17" s="27">
        <f aca="true" t="shared" si="4" ref="F17:F35">E17+$E$9/2</f>
        <v>10.8</v>
      </c>
      <c r="G17" s="27">
        <f aca="true" t="shared" si="5" ref="G17:G35">A17+$E$8/2+A17*1.75/2</f>
        <v>45.25</v>
      </c>
      <c r="H17" s="28">
        <f aca="true" t="shared" si="6" ref="H17:H35">F17*G17</f>
        <v>488.70000000000005</v>
      </c>
      <c r="I17" s="28">
        <f aca="true" t="shared" si="7" ref="I17:I35">A17*$E$9/2+E17*$E$8/2</f>
        <v>79.2</v>
      </c>
      <c r="J17" s="29">
        <f aca="true" t="shared" si="8" ref="J17:J35">I17*$E$10</f>
        <v>5148</v>
      </c>
      <c r="K17" s="30">
        <f aca="true" t="shared" si="9" ref="K17:K35">+J17*$E$11</f>
        <v>360.36</v>
      </c>
      <c r="L17" s="30">
        <f t="shared" si="1"/>
        <v>955.78548</v>
      </c>
      <c r="M17" s="29">
        <f aca="true" t="shared" si="10" ref="M17:M35">L17/H17*43560</f>
        <v>85193.40190055249</v>
      </c>
    </row>
    <row r="18" spans="1:13" ht="12.75">
      <c r="A18" s="25">
        <v>24</v>
      </c>
      <c r="B18" s="26">
        <f>+$E$4*(1+$E$5)^1</f>
        <v>5.2815</v>
      </c>
      <c r="C18" s="40">
        <f t="shared" si="0"/>
        <v>5.439945000000001</v>
      </c>
      <c r="D18" s="26">
        <f t="shared" si="2"/>
        <v>1566.7041600000002</v>
      </c>
      <c r="E18" s="27">
        <f t="shared" si="3"/>
        <v>9.600000000000001</v>
      </c>
      <c r="F18" s="27">
        <f t="shared" si="4"/>
        <v>11.600000000000001</v>
      </c>
      <c r="G18" s="27">
        <f t="shared" si="5"/>
        <v>49</v>
      </c>
      <c r="H18" s="28">
        <f t="shared" si="6"/>
        <v>568.4000000000001</v>
      </c>
      <c r="I18" s="28">
        <f t="shared" si="7"/>
        <v>86.4</v>
      </c>
      <c r="J18" s="29">
        <f t="shared" si="8"/>
        <v>5616</v>
      </c>
      <c r="K18" s="30">
        <f t="shared" si="9"/>
        <v>393.12000000000006</v>
      </c>
      <c r="L18" s="30">
        <f t="shared" si="1"/>
        <v>1053.58416</v>
      </c>
      <c r="M18" s="29">
        <f t="shared" si="10"/>
        <v>80742.65659676284</v>
      </c>
    </row>
    <row r="19" spans="1:13" ht="12.75">
      <c r="A19" s="25">
        <v>25</v>
      </c>
      <c r="B19" s="26">
        <f>+$E$4*(1+$E$5)^2</f>
        <v>5.545575</v>
      </c>
      <c r="C19" s="40">
        <f t="shared" si="0"/>
        <v>5.711942250000001</v>
      </c>
      <c r="D19" s="26">
        <f>A19*C19*12</f>
        <v>1713.582675</v>
      </c>
      <c r="E19" s="27">
        <f>A19*0.4</f>
        <v>10</v>
      </c>
      <c r="F19" s="27">
        <f t="shared" si="4"/>
        <v>12</v>
      </c>
      <c r="G19" s="27">
        <f>A19+$E$8/2+A19*1.75/2</f>
        <v>50.875</v>
      </c>
      <c r="H19" s="28">
        <f>F19*G19</f>
        <v>610.5</v>
      </c>
      <c r="I19" s="28">
        <f>A19*$E$9/2+E19*$E$8/2</f>
        <v>90</v>
      </c>
      <c r="J19" s="29">
        <f t="shared" si="8"/>
        <v>5850</v>
      </c>
      <c r="K19" s="30">
        <f t="shared" si="9"/>
        <v>409.50000000000006</v>
      </c>
      <c r="L19" s="30">
        <f t="shared" si="1"/>
        <v>1184.082675</v>
      </c>
      <c r="M19" s="29">
        <f>L19/H19*43560</f>
        <v>84485.89897297298</v>
      </c>
    </row>
    <row r="20" spans="1:13" ht="12.75">
      <c r="A20" s="25">
        <v>26</v>
      </c>
      <c r="B20" s="26">
        <f>+$E$4*(1+$E$5)^2</f>
        <v>5.545575</v>
      </c>
      <c r="C20" s="40">
        <f t="shared" si="0"/>
        <v>5.711942250000001</v>
      </c>
      <c r="D20" s="26">
        <f t="shared" si="2"/>
        <v>1782.125982</v>
      </c>
      <c r="E20" s="27">
        <f t="shared" si="3"/>
        <v>10.4</v>
      </c>
      <c r="F20" s="27">
        <f t="shared" si="4"/>
        <v>12.4</v>
      </c>
      <c r="G20" s="27">
        <f t="shared" si="5"/>
        <v>52.75</v>
      </c>
      <c r="H20" s="28">
        <f t="shared" si="6"/>
        <v>654.1</v>
      </c>
      <c r="I20" s="28">
        <f t="shared" si="7"/>
        <v>93.6</v>
      </c>
      <c r="J20" s="29">
        <f t="shared" si="8"/>
        <v>6084</v>
      </c>
      <c r="K20" s="30">
        <f t="shared" si="9"/>
        <v>425.88000000000005</v>
      </c>
      <c r="L20" s="30">
        <f t="shared" si="1"/>
        <v>1236.245982</v>
      </c>
      <c r="M20" s="29">
        <f t="shared" si="10"/>
        <v>82328.19901531875</v>
      </c>
    </row>
    <row r="21" spans="1:13" ht="12.75">
      <c r="A21" s="25">
        <v>28</v>
      </c>
      <c r="B21" s="26">
        <f>+$E$4*(1+$E$5)^2</f>
        <v>5.545575</v>
      </c>
      <c r="C21" s="40">
        <f t="shared" si="0"/>
        <v>5.711942250000001</v>
      </c>
      <c r="D21" s="26">
        <f t="shared" si="2"/>
        <v>1919.2125960000003</v>
      </c>
      <c r="E21" s="27">
        <f t="shared" si="3"/>
        <v>11.200000000000001</v>
      </c>
      <c r="F21" s="27">
        <f t="shared" si="4"/>
        <v>13.200000000000001</v>
      </c>
      <c r="G21" s="27">
        <f t="shared" si="5"/>
        <v>56.5</v>
      </c>
      <c r="H21" s="28">
        <f t="shared" si="6"/>
        <v>745.8000000000001</v>
      </c>
      <c r="I21" s="28">
        <f t="shared" si="7"/>
        <v>100.80000000000001</v>
      </c>
      <c r="J21" s="29">
        <f t="shared" si="8"/>
        <v>6552.000000000001</v>
      </c>
      <c r="K21" s="30">
        <f t="shared" si="9"/>
        <v>458.6400000000001</v>
      </c>
      <c r="L21" s="30">
        <f t="shared" si="1"/>
        <v>1340.5725960000002</v>
      </c>
      <c r="M21" s="29">
        <f t="shared" si="10"/>
        <v>78298.93038584071</v>
      </c>
    </row>
    <row r="22" spans="1:13" ht="12.75">
      <c r="A22" s="25">
        <v>29</v>
      </c>
      <c r="B22" s="26">
        <f>+$E$4*(1+$E$5)^2</f>
        <v>5.545575</v>
      </c>
      <c r="C22" s="40">
        <f t="shared" si="0"/>
        <v>5.711942250000001</v>
      </c>
      <c r="D22" s="26">
        <f>A22*C22*12</f>
        <v>1987.7559030000002</v>
      </c>
      <c r="E22" s="27">
        <f>A22*0.4</f>
        <v>11.600000000000001</v>
      </c>
      <c r="F22" s="27">
        <f t="shared" si="4"/>
        <v>13.600000000000001</v>
      </c>
      <c r="G22" s="27">
        <f>A22+$E$8/2+A22*1.75/2</f>
        <v>58.375</v>
      </c>
      <c r="H22" s="28">
        <f>F22*G22</f>
        <v>793.9000000000001</v>
      </c>
      <c r="I22" s="28">
        <f>A22*$E$9/2+E22*$E$8/2</f>
        <v>104.4</v>
      </c>
      <c r="J22" s="29">
        <f t="shared" si="8"/>
        <v>6786</v>
      </c>
      <c r="K22" s="30">
        <f t="shared" si="9"/>
        <v>475.02000000000004</v>
      </c>
      <c r="L22" s="30">
        <f t="shared" si="1"/>
        <v>1392.7359030000002</v>
      </c>
      <c r="M22" s="29">
        <f>L22/H22*43560</f>
        <v>76417.15069237941</v>
      </c>
    </row>
    <row r="23" spans="1:13" ht="12.75">
      <c r="A23" s="25">
        <v>30</v>
      </c>
      <c r="B23" s="26">
        <f>+$E$4*(1+$E$5)^3</f>
        <v>5.822853750000001</v>
      </c>
      <c r="C23" s="40">
        <f t="shared" si="0"/>
        <v>5.997539362500001</v>
      </c>
      <c r="D23" s="26">
        <f t="shared" si="2"/>
        <v>2159.1141705000005</v>
      </c>
      <c r="E23" s="27">
        <f t="shared" si="3"/>
        <v>12</v>
      </c>
      <c r="F23" s="27">
        <f t="shared" si="4"/>
        <v>14</v>
      </c>
      <c r="G23" s="27">
        <f t="shared" si="5"/>
        <v>60.25</v>
      </c>
      <c r="H23" s="28">
        <f t="shared" si="6"/>
        <v>843.5</v>
      </c>
      <c r="I23" s="28">
        <f t="shared" si="7"/>
        <v>108</v>
      </c>
      <c r="J23" s="29">
        <f t="shared" si="8"/>
        <v>7020</v>
      </c>
      <c r="K23" s="30">
        <f t="shared" si="9"/>
        <v>491.40000000000003</v>
      </c>
      <c r="L23" s="30">
        <f t="shared" si="1"/>
        <v>1547.7141705000004</v>
      </c>
      <c r="M23" s="29">
        <f t="shared" si="10"/>
        <v>79927.0056514286</v>
      </c>
    </row>
    <row r="24" spans="1:13" ht="12.75">
      <c r="A24" s="25">
        <v>32</v>
      </c>
      <c r="B24" s="26">
        <f>+$E$4*(1+$E$5)^3</f>
        <v>5.822853750000001</v>
      </c>
      <c r="C24" s="40">
        <f t="shared" si="0"/>
        <v>5.997539362500001</v>
      </c>
      <c r="D24" s="26">
        <f t="shared" si="2"/>
        <v>2303.0551152000007</v>
      </c>
      <c r="E24" s="27">
        <f t="shared" si="3"/>
        <v>12.8</v>
      </c>
      <c r="F24" s="27">
        <f t="shared" si="4"/>
        <v>14.8</v>
      </c>
      <c r="G24" s="27">
        <f t="shared" si="5"/>
        <v>64</v>
      </c>
      <c r="H24" s="28">
        <f t="shared" si="6"/>
        <v>947.2</v>
      </c>
      <c r="I24" s="28">
        <f t="shared" si="7"/>
        <v>115.2</v>
      </c>
      <c r="J24" s="29">
        <f t="shared" si="8"/>
        <v>7488</v>
      </c>
      <c r="K24" s="30">
        <f t="shared" si="9"/>
        <v>524.1600000000001</v>
      </c>
      <c r="L24" s="30">
        <f t="shared" si="1"/>
        <v>1658.8951152000006</v>
      </c>
      <c r="M24" s="29">
        <f t="shared" si="10"/>
        <v>76289.55998533787</v>
      </c>
    </row>
    <row r="25" spans="1:13" ht="12.75">
      <c r="A25" s="25">
        <v>36</v>
      </c>
      <c r="B25" s="26">
        <f>+$E$4*(1+$E$5)^3</f>
        <v>5.822853750000001</v>
      </c>
      <c r="C25" s="40">
        <f t="shared" si="0"/>
        <v>5.997539362500001</v>
      </c>
      <c r="D25" s="26">
        <f t="shared" si="2"/>
        <v>2590.9370046000004</v>
      </c>
      <c r="E25" s="27">
        <f t="shared" si="3"/>
        <v>14.4</v>
      </c>
      <c r="F25" s="27">
        <f t="shared" si="4"/>
        <v>16.4</v>
      </c>
      <c r="G25" s="27">
        <f t="shared" si="5"/>
        <v>71.5</v>
      </c>
      <c r="H25" s="28">
        <f t="shared" si="6"/>
        <v>1172.6</v>
      </c>
      <c r="I25" s="28">
        <f t="shared" si="7"/>
        <v>129.6</v>
      </c>
      <c r="J25" s="29">
        <f t="shared" si="8"/>
        <v>8424</v>
      </c>
      <c r="K25" s="30">
        <f t="shared" si="9"/>
        <v>589.6800000000001</v>
      </c>
      <c r="L25" s="30">
        <f t="shared" si="1"/>
        <v>1881.2570046000003</v>
      </c>
      <c r="M25" s="29">
        <f t="shared" si="10"/>
        <v>69885.34463617262</v>
      </c>
    </row>
    <row r="26" spans="1:13" ht="12.75">
      <c r="A26" s="25">
        <v>39</v>
      </c>
      <c r="B26" s="26">
        <f>+$E$4*(1+$E$5)^3</f>
        <v>5.822853750000001</v>
      </c>
      <c r="C26" s="40">
        <f t="shared" si="0"/>
        <v>5.997539362500001</v>
      </c>
      <c r="D26" s="26">
        <f>A26*C26*12</f>
        <v>2806.8484216500005</v>
      </c>
      <c r="E26" s="27">
        <f>A26*0.4</f>
        <v>15.600000000000001</v>
      </c>
      <c r="F26" s="27">
        <f t="shared" si="4"/>
        <v>17.6</v>
      </c>
      <c r="G26" s="27">
        <f>A26+$E$8/2+A26*1.75/2</f>
        <v>77.125</v>
      </c>
      <c r="H26" s="28">
        <f>F26*G26</f>
        <v>1357.4</v>
      </c>
      <c r="I26" s="28">
        <f>A26*$E$9/2+E26*$E$8/2</f>
        <v>140.4</v>
      </c>
      <c r="J26" s="29">
        <f t="shared" si="8"/>
        <v>9126</v>
      </c>
      <c r="K26" s="30">
        <f t="shared" si="9"/>
        <v>638.82</v>
      </c>
      <c r="L26" s="30">
        <f t="shared" si="1"/>
        <v>2048.0284216500004</v>
      </c>
      <c r="M26" s="29">
        <f>L26/H26*43560</f>
        <v>65722.79213722853</v>
      </c>
    </row>
    <row r="27" spans="1:13" ht="12.75">
      <c r="A27" s="25">
        <v>40</v>
      </c>
      <c r="B27" s="26">
        <f>+$E$4*(1+$E$5)^4</f>
        <v>6.1139964375</v>
      </c>
      <c r="C27" s="40">
        <f t="shared" si="0"/>
        <v>6.297416330625</v>
      </c>
      <c r="D27" s="26">
        <f t="shared" si="2"/>
        <v>3022.7598387000003</v>
      </c>
      <c r="E27" s="27">
        <f t="shared" si="3"/>
        <v>16</v>
      </c>
      <c r="F27" s="27">
        <f t="shared" si="4"/>
        <v>18</v>
      </c>
      <c r="G27" s="27">
        <f t="shared" si="5"/>
        <v>79</v>
      </c>
      <c r="H27" s="28">
        <f t="shared" si="6"/>
        <v>1422</v>
      </c>
      <c r="I27" s="28">
        <f t="shared" si="7"/>
        <v>144</v>
      </c>
      <c r="J27" s="29">
        <f t="shared" si="8"/>
        <v>9360</v>
      </c>
      <c r="K27" s="30">
        <f t="shared" si="9"/>
        <v>655.2</v>
      </c>
      <c r="L27" s="30">
        <f t="shared" si="1"/>
        <v>2247.5598387</v>
      </c>
      <c r="M27" s="29">
        <f t="shared" si="10"/>
        <v>68849.30138802531</v>
      </c>
    </row>
    <row r="28" spans="1:13" ht="12.75">
      <c r="A28" s="25">
        <v>45</v>
      </c>
      <c r="B28" s="26">
        <f>+$E$4*(1+$E$5)^4</f>
        <v>6.1139964375</v>
      </c>
      <c r="C28" s="40">
        <f t="shared" si="0"/>
        <v>6.297416330625</v>
      </c>
      <c r="D28" s="26">
        <f t="shared" si="2"/>
        <v>3400.6048185375003</v>
      </c>
      <c r="E28" s="27">
        <f t="shared" si="3"/>
        <v>18</v>
      </c>
      <c r="F28" s="27">
        <f t="shared" si="4"/>
        <v>20</v>
      </c>
      <c r="G28" s="27">
        <f t="shared" si="5"/>
        <v>88.375</v>
      </c>
      <c r="H28" s="28">
        <f t="shared" si="6"/>
        <v>1767.5</v>
      </c>
      <c r="I28" s="28">
        <f t="shared" si="7"/>
        <v>162</v>
      </c>
      <c r="J28" s="29">
        <f t="shared" si="8"/>
        <v>10530</v>
      </c>
      <c r="K28" s="30">
        <f t="shared" si="9"/>
        <v>737.1</v>
      </c>
      <c r="L28" s="30">
        <f t="shared" si="1"/>
        <v>2543.5048185375003</v>
      </c>
      <c r="M28" s="29">
        <f t="shared" si="10"/>
        <v>62684.62228882235</v>
      </c>
    </row>
    <row r="29" spans="1:13" ht="12.75">
      <c r="A29" s="25">
        <v>49</v>
      </c>
      <c r="B29" s="26">
        <f>+$E$4*(1+$E$5)^4</f>
        <v>6.1139964375</v>
      </c>
      <c r="C29" s="40">
        <f t="shared" si="0"/>
        <v>6.297416330625</v>
      </c>
      <c r="D29" s="26">
        <f>A29*C29*12</f>
        <v>3702.8808024075006</v>
      </c>
      <c r="E29" s="27">
        <f>A29*0.4</f>
        <v>19.6</v>
      </c>
      <c r="F29" s="27">
        <f t="shared" si="4"/>
        <v>21.6</v>
      </c>
      <c r="G29" s="27">
        <f>A29+$E$8/2+A29*1.75/2</f>
        <v>95.875</v>
      </c>
      <c r="H29" s="28">
        <f>F29*G29</f>
        <v>2070.9</v>
      </c>
      <c r="I29" s="28">
        <f>A29*$E$9/2+E29*$E$8/2</f>
        <v>176.4</v>
      </c>
      <c r="J29" s="29">
        <f t="shared" si="8"/>
        <v>11466</v>
      </c>
      <c r="K29" s="30">
        <f t="shared" si="9"/>
        <v>802.6200000000001</v>
      </c>
      <c r="L29" s="30">
        <f t="shared" si="1"/>
        <v>2780.2608024075007</v>
      </c>
      <c r="M29" s="29">
        <f>L29/H29*43560</f>
        <v>58480.93126315647</v>
      </c>
    </row>
    <row r="30" spans="1:13" ht="12.75">
      <c r="A30" s="25">
        <v>50</v>
      </c>
      <c r="B30" s="26">
        <f>+$E$4*(1+$E$5)^5</f>
        <v>6.419696259375001</v>
      </c>
      <c r="C30" s="40">
        <f t="shared" si="0"/>
        <v>6.612287147156251</v>
      </c>
      <c r="D30" s="26">
        <f t="shared" si="2"/>
        <v>3967.3722882937504</v>
      </c>
      <c r="E30" s="27">
        <f t="shared" si="3"/>
        <v>20</v>
      </c>
      <c r="F30" s="27">
        <f t="shared" si="4"/>
        <v>22</v>
      </c>
      <c r="G30" s="27">
        <f t="shared" si="5"/>
        <v>97.75</v>
      </c>
      <c r="H30" s="28">
        <f t="shared" si="6"/>
        <v>2150.5</v>
      </c>
      <c r="I30" s="28">
        <f t="shared" si="7"/>
        <v>180</v>
      </c>
      <c r="J30" s="29">
        <f t="shared" si="8"/>
        <v>11700</v>
      </c>
      <c r="K30" s="30">
        <f t="shared" si="9"/>
        <v>819.0000000000001</v>
      </c>
      <c r="L30" s="30">
        <f t="shared" si="1"/>
        <v>3028.3722882937504</v>
      </c>
      <c r="M30" s="29">
        <f t="shared" si="10"/>
        <v>61341.96553270206</v>
      </c>
    </row>
    <row r="31" spans="1:13" ht="12.75">
      <c r="A31" s="25">
        <v>59</v>
      </c>
      <c r="B31" s="26">
        <f>+$E$4*(1+$E$5)^5</f>
        <v>6.419696259375001</v>
      </c>
      <c r="C31" s="40">
        <f t="shared" si="0"/>
        <v>6.612287147156251</v>
      </c>
      <c r="D31" s="26">
        <f>A31*C31*12</f>
        <v>4681.499300186626</v>
      </c>
      <c r="E31" s="27">
        <f>A31*0.4</f>
        <v>23.6</v>
      </c>
      <c r="F31" s="27">
        <f t="shared" si="4"/>
        <v>25.6</v>
      </c>
      <c r="G31" s="27">
        <f>A31+$E$8/2+A31*1.75/2</f>
        <v>114.625</v>
      </c>
      <c r="H31" s="28">
        <f>F31*G31</f>
        <v>2934.4</v>
      </c>
      <c r="I31" s="28">
        <f>A31*$E$9/2+E31*$E$8/2</f>
        <v>212.4</v>
      </c>
      <c r="J31" s="29">
        <f t="shared" si="8"/>
        <v>13806</v>
      </c>
      <c r="K31" s="30">
        <f t="shared" si="9"/>
        <v>966.4200000000001</v>
      </c>
      <c r="L31" s="30">
        <f t="shared" si="1"/>
        <v>3595.079300186626</v>
      </c>
      <c r="M31" s="29">
        <f>L31/H31*43560</f>
        <v>53367.52123641269</v>
      </c>
    </row>
    <row r="32" spans="1:13" ht="12.75">
      <c r="A32" s="25">
        <v>60</v>
      </c>
      <c r="B32" s="26">
        <f>+$E$4*(1+$E$5)^6</f>
        <v>6.74068107234375</v>
      </c>
      <c r="C32" s="40">
        <f t="shared" si="0"/>
        <v>6.9429015045140625</v>
      </c>
      <c r="D32" s="26">
        <f t="shared" si="2"/>
        <v>4998.889083250125</v>
      </c>
      <c r="E32" s="27">
        <f t="shared" si="3"/>
        <v>24</v>
      </c>
      <c r="F32" s="27">
        <f t="shared" si="4"/>
        <v>26</v>
      </c>
      <c r="G32" s="27">
        <f t="shared" si="5"/>
        <v>116.5</v>
      </c>
      <c r="H32" s="28">
        <f t="shared" si="6"/>
        <v>3029</v>
      </c>
      <c r="I32" s="28">
        <f t="shared" si="7"/>
        <v>216</v>
      </c>
      <c r="J32" s="29">
        <f t="shared" si="8"/>
        <v>14040</v>
      </c>
      <c r="K32" s="30">
        <f t="shared" si="9"/>
        <v>982.8000000000001</v>
      </c>
      <c r="L32" s="30">
        <f t="shared" si="1"/>
        <v>3896.0890832501245</v>
      </c>
      <c r="M32" s="29">
        <f t="shared" si="10"/>
        <v>56029.594079358016</v>
      </c>
    </row>
    <row r="33" spans="1:13" ht="12.75">
      <c r="A33" s="25">
        <v>69</v>
      </c>
      <c r="B33" s="26">
        <f>+$E$4*(1+$E$5)^6</f>
        <v>6.74068107234375</v>
      </c>
      <c r="C33" s="40">
        <f t="shared" si="0"/>
        <v>6.9429015045140625</v>
      </c>
      <c r="D33" s="26">
        <f>A33*C33*12</f>
        <v>5748.722445737644</v>
      </c>
      <c r="E33" s="27">
        <f>A33*0.4</f>
        <v>27.6</v>
      </c>
      <c r="F33" s="27">
        <f t="shared" si="4"/>
        <v>29.6</v>
      </c>
      <c r="G33" s="27">
        <f>A33+$E$8/2+A33*1.75/2</f>
        <v>133.375</v>
      </c>
      <c r="H33" s="28">
        <f>F33*G33</f>
        <v>3947.9</v>
      </c>
      <c r="I33" s="28">
        <f>A33*$E$9/2+E33*$E$8/2</f>
        <v>248.4</v>
      </c>
      <c r="J33" s="29">
        <f t="shared" si="8"/>
        <v>16146</v>
      </c>
      <c r="K33" s="30">
        <f t="shared" si="9"/>
        <v>1130.22</v>
      </c>
      <c r="L33" s="30">
        <f t="shared" si="1"/>
        <v>4498.502445737644</v>
      </c>
      <c r="M33" s="29">
        <f>L33/H33*43560</f>
        <v>49635.18998361958</v>
      </c>
    </row>
    <row r="34" spans="1:13" ht="12.75">
      <c r="A34" s="25">
        <v>70</v>
      </c>
      <c r="B34" s="26">
        <f>+$E$4*(1+$E$5)^7</f>
        <v>7.077715125960939</v>
      </c>
      <c r="C34" s="40">
        <f t="shared" si="0"/>
        <v>7.2900465797397676</v>
      </c>
      <c r="D34" s="26">
        <f t="shared" si="2"/>
        <v>6123.639126981405</v>
      </c>
      <c r="E34" s="27">
        <f t="shared" si="3"/>
        <v>28</v>
      </c>
      <c r="F34" s="27">
        <f t="shared" si="4"/>
        <v>30</v>
      </c>
      <c r="G34" s="27">
        <f t="shared" si="5"/>
        <v>135.25</v>
      </c>
      <c r="H34" s="28">
        <f t="shared" si="6"/>
        <v>4057.5</v>
      </c>
      <c r="I34" s="28">
        <f t="shared" si="7"/>
        <v>252</v>
      </c>
      <c r="J34" s="29">
        <f t="shared" si="8"/>
        <v>16380</v>
      </c>
      <c r="K34" s="30">
        <f t="shared" si="9"/>
        <v>1146.6000000000001</v>
      </c>
      <c r="L34" s="30">
        <f t="shared" si="1"/>
        <v>4857.0391269814045</v>
      </c>
      <c r="M34" s="29">
        <f t="shared" si="10"/>
        <v>52143.59195842513</v>
      </c>
    </row>
    <row r="35" spans="1:13" ht="13.5" thickBot="1">
      <c r="A35" s="31">
        <v>84</v>
      </c>
      <c r="B35" s="32">
        <f>+$E$4*(1+$E$5)^8</f>
        <v>7.431600882258985</v>
      </c>
      <c r="C35" s="41">
        <f t="shared" si="0"/>
        <v>7.654548908726755</v>
      </c>
      <c r="D35" s="32">
        <f t="shared" si="2"/>
        <v>7715.785299996569</v>
      </c>
      <c r="E35" s="33">
        <f t="shared" si="3"/>
        <v>33.6</v>
      </c>
      <c r="F35" s="33">
        <f t="shared" si="4"/>
        <v>35.6</v>
      </c>
      <c r="G35" s="33">
        <f t="shared" si="5"/>
        <v>161.5</v>
      </c>
      <c r="H35" s="34">
        <f t="shared" si="6"/>
        <v>5749.400000000001</v>
      </c>
      <c r="I35" s="34">
        <f t="shared" si="7"/>
        <v>302.4</v>
      </c>
      <c r="J35" s="35">
        <f t="shared" si="8"/>
        <v>19656</v>
      </c>
      <c r="K35" s="36">
        <f t="shared" si="9"/>
        <v>1375.92</v>
      </c>
      <c r="L35" s="36">
        <f t="shared" si="1"/>
        <v>6219.865299996569</v>
      </c>
      <c r="M35" s="35">
        <f t="shared" si="10"/>
        <v>47124.453415634765</v>
      </c>
    </row>
    <row r="36" spans="1:13" ht="12.75">
      <c r="A36" s="1"/>
      <c r="B36" s="1"/>
      <c r="C36" s="9"/>
      <c r="D36" s="9"/>
      <c r="E36" s="1"/>
      <c r="F36" s="1"/>
      <c r="G36" s="1"/>
      <c r="H36" s="1"/>
      <c r="I36" s="1"/>
      <c r="J36" s="2"/>
      <c r="K36" s="3"/>
      <c r="L36" s="3"/>
      <c r="M36" s="3"/>
    </row>
    <row r="38" spans="16:17" ht="12.75">
      <c r="P38" s="37"/>
      <c r="Q38" s="38"/>
    </row>
    <row r="39" spans="16:17" ht="12.75">
      <c r="P39" s="37"/>
      <c r="Q39" s="38"/>
    </row>
    <row r="40" spans="16:17" ht="12.75">
      <c r="P40" s="37"/>
      <c r="Q40" s="38"/>
    </row>
    <row r="41" spans="16:17" ht="12.75">
      <c r="P41" s="37"/>
      <c r="Q41" s="38"/>
    </row>
    <row r="42" spans="16:17" ht="12.75">
      <c r="P42" s="37"/>
      <c r="Q42" s="38"/>
    </row>
    <row r="43" spans="16:17" ht="12.75">
      <c r="P43" s="37"/>
      <c r="Q43" s="38"/>
    </row>
    <row r="44" spans="16:17" ht="12.75">
      <c r="P44" s="37"/>
      <c r="Q44" s="38"/>
    </row>
    <row r="45" spans="16:17" ht="12.75">
      <c r="P45" s="37"/>
      <c r="Q45" s="38"/>
    </row>
    <row r="46" spans="16:17" ht="12.75">
      <c r="P46" s="37"/>
      <c r="Q46" s="38"/>
    </row>
    <row r="47" spans="16:17" ht="12.75">
      <c r="P47" s="37"/>
      <c r="Q47" s="38"/>
    </row>
    <row r="48" spans="16:17" ht="12.75">
      <c r="P48" s="37"/>
      <c r="Q48" s="38"/>
    </row>
    <row r="49" spans="16:17" ht="12.75">
      <c r="P49" s="37"/>
      <c r="Q49" s="38"/>
    </row>
    <row r="50" spans="16:17" ht="12.75">
      <c r="P50" s="37"/>
      <c r="Q50" s="38"/>
    </row>
    <row r="51" spans="16:17" ht="12.75">
      <c r="P51" s="37"/>
      <c r="Q51" s="38"/>
    </row>
    <row r="52" spans="16:17" ht="12.75">
      <c r="P52" s="37"/>
      <c r="Q52" s="38"/>
    </row>
    <row r="53" spans="16:17" ht="12.75">
      <c r="P53" s="37"/>
      <c r="Q53" s="38"/>
    </row>
    <row r="54" spans="16:17" ht="12.75">
      <c r="P54" s="37"/>
      <c r="Q54" s="38"/>
    </row>
    <row r="55" spans="16:17" ht="12.75">
      <c r="P55" s="37"/>
      <c r="Q55" s="38"/>
    </row>
    <row r="56" spans="16:17" ht="12.75">
      <c r="P56" s="37"/>
      <c r="Q56" s="38"/>
    </row>
    <row r="57" spans="16:17" ht="12.75">
      <c r="P57" s="37"/>
      <c r="Q57" s="38"/>
    </row>
    <row r="58" spans="16:17" ht="12.75">
      <c r="P58" s="37"/>
      <c r="Q58" s="38"/>
    </row>
    <row r="61" ht="12.75">
      <c r="C61" s="10"/>
    </row>
  </sheetData>
  <printOptions horizontalCentered="1" verticalCentered="1"/>
  <pageMargins left="0.5" right="0.5" top="0.25" bottom="0.25" header="0" footer="0"/>
  <pageSetup fitToHeight="1" fitToWidth="1" horizontalDpi="300" verticalDpi="3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 Kamen</cp:lastModifiedBy>
  <cp:lastPrinted>2003-09-25T18:25:38Z</cp:lastPrinted>
  <dcterms:created xsi:type="dcterms:W3CDTF">1996-10-14T23:33:28Z</dcterms:created>
  <dcterms:modified xsi:type="dcterms:W3CDTF">2003-09-25T22:43:39Z</dcterms:modified>
  <cp:category/>
  <cp:version/>
  <cp:contentType/>
  <cp:contentStatus/>
</cp:coreProperties>
</file>